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-2" sheetId="6" r:id="rId6"/>
    <sheet name="січень 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<sst xmlns="http://schemas.openxmlformats.org/spreadsheetml/2006/main" count="1110" uniqueCount="282">
  <si>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</si>
  <si>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</si>
  <si>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</si>
  <si>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</si>
  <si>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</si>
  <si>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</si>
  <si>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</si>
  <si>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</si>
  <si>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</si>
  <si>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</si>
  <si>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</si>
  <si>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</si>
  <si>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</si>
  <si>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</si>
  <si>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</si>
  <si>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</si>
  <si>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</si>
  <si>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</si>
  <si>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</si>
  <si>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</si>
  <si>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</si>
  <si>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</si>
  <si>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</si>
  <si>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</si>
  <si>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</si>
  <si>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</si>
  <si>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</si>
  <si>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</si>
  <si>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</si>
  <si>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</si>
  <si>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</si>
  <si>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</si>
  <si>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</si>
  <si>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</si>
  <si>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</si>
  <si>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</si>
  <si>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</si>
  <si>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</si>
  <si>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</si>
  <si>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</si>
  <si>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</si>
  <si>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</si>
  <si>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</si>
  <si>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</si>
  <si>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</si>
  <si>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</si>
  <si>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</si>
  <si>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</si>
  <si>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</si>
  <si>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</si>
  <si>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</si>
  <si>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</si>
  <si>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</si>
  <si>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</si>
  <si>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</si>
  <si>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</si>
  <si>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</si>
  <si>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</si>
  <si>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</si>
  <si>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</si>
  <si>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</si>
  <si>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</si>
  <si>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</si>
  <si>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</si>
  <si>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</si>
  <si>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</si>
  <si>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</si>
  <si>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</si>
  <si>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</si>
  <si>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</si>
  <si>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</si>
  <si>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</si>
  <si>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</si>
  <si>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</si>
  <si>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</si>
  <si>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</si>
  <si>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</si>
  <si>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</si>
  <si>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</si>
  <si>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</si>
  <si>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</si>
  <si>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</si>
  <si>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</si>
  <si>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</si>
  <si>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</si>
  <si>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</si>
  <si>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</si>
  <si>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</si>
  <si>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</si>
  <si>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</si>
  <si>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</si>
  <si>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</si>
  <si>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</si>
  <si>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</si>
  <si>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</si>
  <si>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</si>
  <si>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</si>
  <si>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</si>
  <si>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</si>
  <si>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</si>
  <si>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</si>
  <si>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</si>
  <si>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</si>
  <si>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</si>
  <si>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</si>
  <si>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</si>
  <si>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</si>
  <si>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</si>
  <si>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</si>
  <si>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</si>
  <si>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</si>
  <si>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</si>
  <si>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</si>
  <si>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</si>
  <si>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</si>
  <si>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</si>
  <si>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</si>
  <si>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</si>
  <si>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</si>
  <si>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</si>
  <si>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</si>
  <si>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</si>
  <si>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</si>
  <si>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</si>
  <si>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</si>
  <si>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</si>
  <si>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</si>
  <si>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</si>
  <si>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</si>
  <si>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</si>
  <si>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</si>
  <si>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</si>
  <si>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</si>
  <si>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</si>
  <si>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</si>
  <si>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</si>
  <si>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</si>
  <si>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</si>
  <si>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</si>
  <si>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</si>
  <si>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</si>
  <si>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</si>
  <si>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</si>
  <si>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</si>
  <si>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</si>
  <si>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</si>
  <si>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</si>
  <si>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</si>
  <si>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</si>
  <si>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</si>
  <si>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</si>
  <si>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</si>
  <si>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</si>
  <si>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</si>
  <si>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</si>
  <si>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</si>
  <si>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</si>
  <si>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</si>
  <si>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</si>
  <si>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</si>
  <si>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</si>
  <si>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</si>
  <si>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</si>
  <si>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</si>
  <si>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</si>
  <si>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</si>
  <si>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</si>
  <si>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</si>
  <si>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</si>
  <si>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</si>
  <si>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</si>
  <si>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</si>
  <si>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</si>
  <si>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</si>
  <si>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</si>
  <si>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</si>
  <si>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</si>
  <si>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</si>
  <si>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</si>
  <si>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</si>
  <si>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</si>
  <si>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</si>
  <si>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</si>
  <si>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</si>
  <si>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</si>
  <si>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</si>
  <si>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</si>
  <si>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</si>
  <si>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</si>
  <si>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</si>
  <si>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</si>
  <si>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</si>
  <si>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</si>
  <si>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</si>
  <si>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</si>
  <si>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</si>
  <si>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</si>
  <si>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</si>
  <si>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</si>
  <si>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</si>
  <si>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</si>
  <si>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</si>
  <si>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</si>
  <si>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</si>
  <si>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</si>
  <si>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</si>
  <si>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</si>
  <si>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</si>
  <si>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</si>
  <si>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</si>
  <si>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</si>
  <si>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</si>
  <si>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</si>
  <si>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</si>
  <si>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</si>
  <si>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</si>
  <si>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</si>
  <si>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</si>
  <si>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</si>
  <si>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</si>
  <si>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</si>
  <si>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</si>
  <si>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</si>
  <si>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</si>
  <si>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</si>
  <si>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</si>
  <si>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</si>
  <si>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</si>
  <si>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</si>
  <si>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</si>
  <si>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</si>
  <si>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</si>
  <si>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</si>
  <si>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</si>
  <si>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</si>
  <si>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</si>
  <si>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</si>
  <si>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</si>
  <si>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</si>
  <si>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</si>
  <si>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</si>
  <si>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</si>
  <si>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</si>
  <si>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</si>
  <si>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</si>
  <si>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</si>
  <si>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</si>
  <si>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</si>
  <si>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</si>
  <si>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</si>
  <si>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</si>
  <si>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</si>
  <si>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</si>
  <si>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</si>
  <si>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</si>
  <si>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</si>
  <si>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</si>
  <si>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</si>
  <si>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</si>
  <si>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</si>
  <si>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</si>
  <si>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</si>
  <si>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</si>
  <si>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</si>
  <si>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</si>
  <si>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</si>
  <si>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</si>
  <si>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</si>
  <si>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</si>
  <si>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</si>
  <si>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</si>
  <si>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</si>
  <si>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</si>
  <si>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</si>
  <si>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</si>
  <si>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</si>
  <si>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</si>
  <si>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</si>
  <si>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</si>
  <si>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</si>
  <si>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26.06.2015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</si>
  <si>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25.06.15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</si>
</sst>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81" sqref="I81:I8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280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277</v>
      </c>
      <c r="N3" s="244" t="s">
        <v>278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279</v>
      </c>
      <c r="F4" s="227" t="s">
        <v>116</v>
      </c>
      <c r="G4" s="229" t="s">
        <v>275</v>
      </c>
      <c r="H4" s="231" t="s">
        <v>276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281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265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18">
        <f>F9+F15+F18+F19+F20+F32+F17</f>
        <v>290426.69</v>
      </c>
      <c r="G8" s="18">
        <f aca="true" t="shared" si="0" ref="G8:G54">F8-E8</f>
        <v>8830.290000000037</v>
      </c>
      <c r="H8" s="45">
        <f>F8/E8*100</f>
        <v>103.13579648035274</v>
      </c>
      <c r="I8" s="31">
        <f aca="true" t="shared" si="1" ref="I8:I54">F8-D8</f>
        <v>-227002.31</v>
      </c>
      <c r="J8" s="31">
        <f aca="true" t="shared" si="2" ref="J8:J14">F8/D8*100</f>
        <v>56.12880027984516</v>
      </c>
      <c r="K8" s="18">
        <f>K9+K15+K18+K19+K20+K32</f>
        <v>57128.53599999998</v>
      </c>
      <c r="L8" s="18"/>
      <c r="M8" s="18">
        <f>M9+M15+M18+M19+M20+M32+M17</f>
        <v>58070.69999999999</v>
      </c>
      <c r="N8" s="18">
        <f>N9+N15+N18+N19+N20+N32+N17</f>
        <v>37694.590000000004</v>
      </c>
      <c r="O8" s="31">
        <f aca="true" t="shared" si="3" ref="O8:O54">N8-M8</f>
        <v>-20376.109999999986</v>
      </c>
      <c r="P8" s="31">
        <f>F8/M8*100</f>
        <v>500.12603602160823</v>
      </c>
      <c r="Q8" s="31">
        <f>N8-33748.16</f>
        <v>3946.4300000000003</v>
      </c>
      <c r="R8" s="125">
        <f>N8/33748.16</f>
        <v>1.1169376345258526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143">
        <v>164939.4</v>
      </c>
      <c r="G9" s="43">
        <f t="shared" si="0"/>
        <v>4780.75</v>
      </c>
      <c r="H9" s="35">
        <f aca="true" t="shared" si="4" ref="H9:H32">F9/E9*100</f>
        <v>102.98500892708573</v>
      </c>
      <c r="I9" s="50">
        <f t="shared" si="1"/>
        <v>-147750.6</v>
      </c>
      <c r="J9" s="50">
        <f t="shared" si="2"/>
        <v>52.74853688957114</v>
      </c>
      <c r="K9" s="132">
        <f>F9-182998.13/75*60</f>
        <v>18540.89599999998</v>
      </c>
      <c r="L9" s="132">
        <f>F9/(182998.13/75*60)*100</f>
        <v>112.6646758630812</v>
      </c>
      <c r="M9" s="35">
        <f>E9-травень!E9</f>
        <v>32346</v>
      </c>
      <c r="N9" s="35">
        <f>F9-травень!F9</f>
        <v>26856.899999999994</v>
      </c>
      <c r="O9" s="47">
        <f t="shared" si="3"/>
        <v>-5489.100000000006</v>
      </c>
      <c r="P9" s="50">
        <f aca="true" t="shared" si="5" ref="P9:P32">N9/M9*100</f>
        <v>83.03005008347245</v>
      </c>
      <c r="Q9" s="132">
        <f>N9-26568.11</f>
        <v>288.7899999999936</v>
      </c>
      <c r="R9" s="133">
        <f>N9/26568.11</f>
        <v>1.0108697984162214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144">
        <v>145871.42</v>
      </c>
      <c r="G10" s="135">
        <f t="shared" si="0"/>
        <v>4377.170000000013</v>
      </c>
      <c r="H10" s="137">
        <f t="shared" si="4"/>
        <v>103.0935320693244</v>
      </c>
      <c r="I10" s="136">
        <f t="shared" si="1"/>
        <v>-94538.57999999999</v>
      </c>
      <c r="J10" s="136">
        <f t="shared" si="2"/>
        <v>60.67610332348905</v>
      </c>
      <c r="K10" s="138">
        <f>F10-165146.65/75*60</f>
        <v>13754.100000000006</v>
      </c>
      <c r="L10" s="138">
        <f>F10/(165146.65/75*60)*100</f>
        <v>110.4105199832997</v>
      </c>
      <c r="M10" s="137">
        <f>E10-травень!E10</f>
        <v>28872</v>
      </c>
      <c r="N10" s="137">
        <f>F10-травень!F10</f>
        <v>23677.680000000008</v>
      </c>
      <c r="O10" s="138">
        <f t="shared" si="3"/>
        <v>-5194.319999999992</v>
      </c>
      <c r="P10" s="136">
        <f t="shared" si="5"/>
        <v>82.00914380714882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144">
        <v>9148.47</v>
      </c>
      <c r="G11" s="135">
        <f t="shared" si="0"/>
        <v>-1639.5300000000007</v>
      </c>
      <c r="H11" s="137">
        <f t="shared" si="4"/>
        <v>84.80228031145717</v>
      </c>
      <c r="I11" s="136">
        <f t="shared" si="1"/>
        <v>-14551.53</v>
      </c>
      <c r="J11" s="136">
        <f t="shared" si="2"/>
        <v>38.60113924050633</v>
      </c>
      <c r="K11" s="138">
        <f>F11-11586.84/75*60</f>
        <v>-121.00200000000041</v>
      </c>
      <c r="L11" s="138">
        <f>F11/(11586.84/75*60)*100</f>
        <v>98.69461820479096</v>
      </c>
      <c r="M11" s="137">
        <f>E11-травень!E11</f>
        <v>1830</v>
      </c>
      <c r="N11" s="137">
        <f>F11-травень!F11</f>
        <v>1377.079999999999</v>
      </c>
      <c r="O11" s="138">
        <f t="shared" si="3"/>
        <v>-452.920000000001</v>
      </c>
      <c r="P11" s="136">
        <f t="shared" si="5"/>
        <v>75.25027322404367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144">
        <v>2555.48</v>
      </c>
      <c r="G12" s="135">
        <f t="shared" si="0"/>
        <v>56.48000000000002</v>
      </c>
      <c r="H12" s="137">
        <f t="shared" si="4"/>
        <v>102.26010404161666</v>
      </c>
      <c r="I12" s="136">
        <f t="shared" si="1"/>
        <v>-3244.52</v>
      </c>
      <c r="J12" s="136">
        <f t="shared" si="2"/>
        <v>44.06</v>
      </c>
      <c r="K12" s="138">
        <f>F12-2585.22/75*60</f>
        <v>487.3040000000001</v>
      </c>
      <c r="L12" s="138">
        <f>F12/(2585.22*60)*100</f>
        <v>1.6474935724361306</v>
      </c>
      <c r="M12" s="137">
        <f>E12-травень!E12</f>
        <v>330</v>
      </c>
      <c r="N12" s="137">
        <f>F12-травень!F12</f>
        <v>386.4499999999998</v>
      </c>
      <c r="O12" s="138">
        <f t="shared" si="3"/>
        <v>56.44999999999982</v>
      </c>
      <c r="P12" s="136">
        <f t="shared" si="5"/>
        <v>117.10606060606055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144">
        <v>2800.26</v>
      </c>
      <c r="G13" s="135">
        <f t="shared" si="0"/>
        <v>-543.1399999999999</v>
      </c>
      <c r="H13" s="137">
        <f t="shared" si="4"/>
        <v>83.75486032182809</v>
      </c>
      <c r="I13" s="136">
        <f t="shared" si="1"/>
        <v>-5599.74</v>
      </c>
      <c r="J13" s="136">
        <f t="shared" si="2"/>
        <v>33.33642857142857</v>
      </c>
      <c r="K13" s="138">
        <f>F13-3679.42/75*60</f>
        <v>-143.27599999999984</v>
      </c>
      <c r="L13" s="138">
        <f>F13/(3679.42/75*60)*100</f>
        <v>95.13252088644406</v>
      </c>
      <c r="M13" s="137">
        <f>E13-травень!E13</f>
        <v>924</v>
      </c>
      <c r="N13" s="137">
        <f>F13-травень!F13</f>
        <v>496.59000000000015</v>
      </c>
      <c r="O13" s="138">
        <f t="shared" si="3"/>
        <v>-427.40999999999985</v>
      </c>
      <c r="P13" s="136">
        <f t="shared" si="5"/>
        <v>53.74350649350651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144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143">
        <v>-873.87</v>
      </c>
      <c r="G15" s="43">
        <f t="shared" si="0"/>
        <v>-1045.17</v>
      </c>
      <c r="H15" s="35"/>
      <c r="I15" s="50">
        <f t="shared" si="1"/>
        <v>-1373.87</v>
      </c>
      <c r="J15" s="50">
        <f>F15/D15*100</f>
        <v>-174.774</v>
      </c>
      <c r="K15" s="53">
        <f>F15-317.87</f>
        <v>-1191.74</v>
      </c>
      <c r="L15" s="53">
        <f>F15/317.87*100</f>
        <v>-274.91427313052503</v>
      </c>
      <c r="M15" s="35">
        <f>E15-травень!E15</f>
        <v>0.10000000000002274</v>
      </c>
      <c r="N15" s="35">
        <f>F15-травень!F15</f>
        <v>6.8700000000000045</v>
      </c>
      <c r="O15" s="47">
        <f t="shared" si="3"/>
        <v>6.769999999999982</v>
      </c>
      <c r="P15" s="50"/>
      <c r="Q15" s="50">
        <f>N15-358.81</f>
        <v>-351.94</v>
      </c>
      <c r="R15" s="126">
        <f>N15/358.81</f>
        <v>0.019146623561216256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-1368.83</v>
      </c>
      <c r="G16" s="135">
        <f t="shared" si="0"/>
        <v>-1368.83</v>
      </c>
      <c r="H16" s="137"/>
      <c r="I16" s="136">
        <f t="shared" si="1"/>
        <v>-1368.83</v>
      </c>
      <c r="J16" s="136"/>
      <c r="K16" s="138">
        <f>F16-828.15</f>
        <v>-2196.98</v>
      </c>
      <c r="L16" s="138">
        <f>F16/828.15*100</f>
        <v>-165.28768942824368</v>
      </c>
      <c r="M16" s="137">
        <f>E16-травень!E16</f>
        <v>0</v>
      </c>
      <c r="N16" s="137">
        <f>F16-травень!F16</f>
        <v>6.2000000000000455</v>
      </c>
      <c r="O16" s="138">
        <f t="shared" si="3"/>
        <v>6.2000000000000455</v>
      </c>
      <c r="P16" s="50"/>
      <c r="Q16" s="136">
        <f>N16-358.81</f>
        <v>-352.60999999999996</v>
      </c>
      <c r="R16" s="141">
        <f>N16/358.79</f>
        <v>0.017280303241450558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168">
        <v>26201.24</v>
      </c>
      <c r="G19" s="43">
        <f t="shared" si="0"/>
        <v>2698.4900000000016</v>
      </c>
      <c r="H19" s="35">
        <f t="shared" si="4"/>
        <v>111.48159257959176</v>
      </c>
      <c r="I19" s="50">
        <f t="shared" si="1"/>
        <v>-3748.7599999999984</v>
      </c>
      <c r="J19" s="178">
        <f>F19/D19*100</f>
        <v>87.48327212020034</v>
      </c>
      <c r="K19" s="179">
        <f>F19-0</f>
        <v>26201.24</v>
      </c>
      <c r="L19" s="180"/>
      <c r="M19" s="35">
        <f>E19-травень!E19</f>
        <v>7720</v>
      </c>
      <c r="N19" s="35">
        <f>F19-травень!F19</f>
        <v>3060.760000000002</v>
      </c>
      <c r="O19" s="47">
        <f t="shared" si="3"/>
        <v>-4659.239999999998</v>
      </c>
      <c r="P19" s="50">
        <f t="shared" si="5"/>
        <v>39.64715025906738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169">
        <f>F21+F25+F27+F26</f>
        <v>96123.23</v>
      </c>
      <c r="G20" s="43">
        <f t="shared" si="0"/>
        <v>2367.3300000000017</v>
      </c>
      <c r="H20" s="35">
        <f t="shared" si="4"/>
        <v>102.52499309376797</v>
      </c>
      <c r="I20" s="50">
        <f t="shared" si="1"/>
        <v>-70646.77</v>
      </c>
      <c r="J20" s="178">
        <f aca="true" t="shared" si="6" ref="J20:J46">F20/D20*100</f>
        <v>57.63820231456497</v>
      </c>
      <c r="K20" s="178">
        <f>K21+K25+K26+K27</f>
        <v>14840.010000000002</v>
      </c>
      <c r="L20" s="136"/>
      <c r="M20" s="35">
        <f>E20-травень!E20</f>
        <v>18004.29999999999</v>
      </c>
      <c r="N20" s="35">
        <f>F20-травень!F20</f>
        <v>7769.880000000005</v>
      </c>
      <c r="O20" s="47">
        <f t="shared" si="3"/>
        <v>-10234.419999999984</v>
      </c>
      <c r="P20" s="50">
        <f t="shared" si="5"/>
        <v>43.15569058502696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169">
        <f>F22+F23+F24</f>
        <v>50760.19</v>
      </c>
      <c r="G21" s="43">
        <f t="shared" si="0"/>
        <v>2402.9900000000052</v>
      </c>
      <c r="H21" s="35">
        <f t="shared" si="4"/>
        <v>104.96924966706096</v>
      </c>
      <c r="I21" s="50">
        <f t="shared" si="1"/>
        <v>-47439.81</v>
      </c>
      <c r="J21" s="178">
        <f t="shared" si="6"/>
        <v>51.69062118126273</v>
      </c>
      <c r="K21" s="178">
        <f>K22+K23+K24</f>
        <v>10796.390000000005</v>
      </c>
      <c r="L21" s="136"/>
      <c r="M21" s="35">
        <f>E21-травень!E21</f>
        <v>8443.099999999999</v>
      </c>
      <c r="N21" s="35">
        <f>F21-травень!F21</f>
        <v>4968.8399999999965</v>
      </c>
      <c r="O21" s="47">
        <f t="shared" si="3"/>
        <v>-3474.260000000002</v>
      </c>
      <c r="P21" s="50">
        <f t="shared" si="5"/>
        <v>58.85089599791543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144">
        <v>4637.57</v>
      </c>
      <c r="G22" s="135">
        <f t="shared" si="0"/>
        <v>4271.37</v>
      </c>
      <c r="H22" s="137">
        <f t="shared" si="4"/>
        <v>1266.403604587657</v>
      </c>
      <c r="I22" s="136">
        <f t="shared" si="1"/>
        <v>3637.5699999999997</v>
      </c>
      <c r="J22" s="136">
        <f t="shared" si="6"/>
        <v>463.75699999999995</v>
      </c>
      <c r="K22" s="136">
        <f>F22-130.74</f>
        <v>4506.83</v>
      </c>
      <c r="L22" s="136">
        <f>F22/130.74*100</f>
        <v>3547.169955637142</v>
      </c>
      <c r="M22" s="137">
        <f>E22-травень!E22</f>
        <v>90.09999999999997</v>
      </c>
      <c r="N22" s="137">
        <f>F22-травень!F22</f>
        <v>198.10999999999967</v>
      </c>
      <c r="O22" s="138">
        <f t="shared" si="3"/>
        <v>108.0099999999997</v>
      </c>
      <c r="P22" s="136">
        <f t="shared" si="5"/>
        <v>219.87791342952247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179.43</v>
      </c>
      <c r="G23" s="135">
        <f t="shared" si="0"/>
        <v>-70.57</v>
      </c>
      <c r="H23" s="137"/>
      <c r="I23" s="136">
        <f t="shared" si="1"/>
        <v>-1320.57</v>
      </c>
      <c r="J23" s="136">
        <f t="shared" si="6"/>
        <v>11.962</v>
      </c>
      <c r="K23" s="136">
        <f>F23-0</f>
        <v>179.43</v>
      </c>
      <c r="L23" s="136"/>
      <c r="M23" s="137">
        <f>E23-травень!E23</f>
        <v>0</v>
      </c>
      <c r="N23" s="137">
        <f>F23-травень!F23</f>
        <v>6.340000000000003</v>
      </c>
      <c r="O23" s="138">
        <f t="shared" si="3"/>
        <v>6.340000000000003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144">
        <v>45943.19</v>
      </c>
      <c r="G24" s="135">
        <f t="shared" si="0"/>
        <v>-1797.8099999999977</v>
      </c>
      <c r="H24" s="137">
        <f t="shared" si="4"/>
        <v>96.23424310341217</v>
      </c>
      <c r="I24" s="136">
        <f t="shared" si="1"/>
        <v>-49756.81</v>
      </c>
      <c r="J24" s="136">
        <f t="shared" si="6"/>
        <v>48.007513061651</v>
      </c>
      <c r="K24" s="139">
        <f>F24-39833.06</f>
        <v>6110.130000000005</v>
      </c>
      <c r="L24" s="139">
        <f>F24/39833.06*100</f>
        <v>115.33934375114544</v>
      </c>
      <c r="M24" s="137">
        <f>E24-травень!E24</f>
        <v>8353</v>
      </c>
      <c r="N24" s="137">
        <f>F24-травень!F24</f>
        <v>4764.389999999999</v>
      </c>
      <c r="O24" s="138">
        <f t="shared" si="3"/>
        <v>-3588.6100000000006</v>
      </c>
      <c r="P24" s="136">
        <f t="shared" si="5"/>
        <v>57.03807015443553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168">
        <v>36.62</v>
      </c>
      <c r="G25" s="43">
        <f t="shared" si="0"/>
        <v>14.419999999999998</v>
      </c>
      <c r="H25" s="35">
        <f t="shared" si="4"/>
        <v>164.95495495495496</v>
      </c>
      <c r="I25" s="50">
        <f t="shared" si="1"/>
        <v>-33.38</v>
      </c>
      <c r="J25" s="178">
        <f t="shared" si="6"/>
        <v>52.31428571428572</v>
      </c>
      <c r="K25" s="178">
        <f>F25-27.78</f>
        <v>8.839999999999996</v>
      </c>
      <c r="L25" s="178">
        <f>F25/27.78*100</f>
        <v>131.8214542836573</v>
      </c>
      <c r="M25" s="35">
        <f>E25-травень!E25</f>
        <v>4.699999999999999</v>
      </c>
      <c r="N25" s="35">
        <f>F25-травень!F25</f>
        <v>3.4199999999999946</v>
      </c>
      <c r="O25" s="47">
        <f t="shared" si="3"/>
        <v>-1.2800000000000047</v>
      </c>
      <c r="P25" s="50">
        <f t="shared" si="5"/>
        <v>72.7659574468084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-392.1</v>
      </c>
      <c r="G26" s="43">
        <f t="shared" si="0"/>
        <v>-392.1</v>
      </c>
      <c r="H26" s="35"/>
      <c r="I26" s="50">
        <f t="shared" si="1"/>
        <v>-392.1</v>
      </c>
      <c r="J26" s="136"/>
      <c r="K26" s="178">
        <f>F26-3237.93</f>
        <v>-3630.0299999999997</v>
      </c>
      <c r="L26" s="178">
        <f>F26/3237.93*100</f>
        <v>-12.109588533414868</v>
      </c>
      <c r="M26" s="35">
        <f>E26-травень!E26</f>
        <v>0</v>
      </c>
      <c r="N26" s="35">
        <f>F26-травень!F26</f>
        <v>-186.61</v>
      </c>
      <c r="O26" s="47">
        <f t="shared" si="3"/>
        <v>-186.61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168">
        <v>45718.52</v>
      </c>
      <c r="G27" s="43">
        <f t="shared" si="0"/>
        <v>342.0199999999968</v>
      </c>
      <c r="H27" s="35">
        <f t="shared" si="4"/>
        <v>100.7537381684352</v>
      </c>
      <c r="I27" s="50">
        <f t="shared" si="1"/>
        <v>-22781.480000000003</v>
      </c>
      <c r="J27" s="178">
        <f t="shared" si="6"/>
        <v>66.74236496350365</v>
      </c>
      <c r="K27" s="132">
        <f>F27-38053.71</f>
        <v>7664.809999999998</v>
      </c>
      <c r="L27" s="132">
        <f>F27/38053.71*100</f>
        <v>120.14208338687607</v>
      </c>
      <c r="M27" s="35">
        <f>E27-травень!E27</f>
        <v>9556.5</v>
      </c>
      <c r="N27" s="35">
        <f>F27-травень!F27</f>
        <v>2984.229999999996</v>
      </c>
      <c r="O27" s="47">
        <f t="shared" si="3"/>
        <v>-6572.270000000004</v>
      </c>
      <c r="P27" s="50">
        <f t="shared" si="5"/>
        <v>31.227227541463883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144">
        <v>11366.6</v>
      </c>
      <c r="G29" s="135">
        <f t="shared" si="0"/>
        <v>326.60000000000036</v>
      </c>
      <c r="H29" s="137">
        <f t="shared" si="4"/>
        <v>102.95833333333333</v>
      </c>
      <c r="I29" s="136">
        <f t="shared" si="1"/>
        <v>-5133.4</v>
      </c>
      <c r="J29" s="136">
        <f t="shared" si="6"/>
        <v>68.88848484848485</v>
      </c>
      <c r="K29" s="139">
        <f>F29-10533.4</f>
        <v>833.2000000000007</v>
      </c>
      <c r="L29" s="139">
        <f>F29/10533.4*100</f>
        <v>107.91007651850306</v>
      </c>
      <c r="M29" s="137">
        <f>E29-травень!E29</f>
        <v>1900</v>
      </c>
      <c r="N29" s="137">
        <f>F29-травень!F29</f>
        <v>541.1499999999996</v>
      </c>
      <c r="O29" s="138">
        <f t="shared" si="3"/>
        <v>-1358.8500000000004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144">
        <v>34346.15</v>
      </c>
      <c r="G30" s="135">
        <f t="shared" si="0"/>
        <v>9.650000000001455</v>
      </c>
      <c r="H30" s="137">
        <f t="shared" si="4"/>
        <v>100.02810420398119</v>
      </c>
      <c r="I30" s="136">
        <f t="shared" si="1"/>
        <v>-17653.85</v>
      </c>
      <c r="J30" s="136">
        <f t="shared" si="6"/>
        <v>66.05028846153846</v>
      </c>
      <c r="K30" s="139">
        <f>F30-27519.96</f>
        <v>6826.190000000002</v>
      </c>
      <c r="L30" s="139">
        <f>F30/27519.96*100</f>
        <v>124.80450552980456</v>
      </c>
      <c r="M30" s="137">
        <f>E30-травень!E30</f>
        <v>7656.5</v>
      </c>
      <c r="N30" s="137">
        <f>F30-травень!F30</f>
        <v>2443.0699999999997</v>
      </c>
      <c r="O30" s="138">
        <f t="shared" si="3"/>
        <v>-5213.43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E31-травень!E31</f>
        <v>0</v>
      </c>
      <c r="N31" s="137">
        <f>F31-травень!F31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168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18">
        <f>F34+F35+F36+F37+F38+F41+F42+F47+F48+F52+F40+F39</f>
        <v>15682.210000000003</v>
      </c>
      <c r="G33" s="44">
        <f t="shared" si="0"/>
        <v>9564.710000000003</v>
      </c>
      <c r="H33" s="45">
        <f>F33/E33*100</f>
        <v>256.34997956681656</v>
      </c>
      <c r="I33" s="31">
        <f t="shared" si="1"/>
        <v>3115.1100000000024</v>
      </c>
      <c r="J33" s="31">
        <f t="shared" si="6"/>
        <v>124.7878189876742</v>
      </c>
      <c r="K33" s="18">
        <f>K34+K35+K36+K37+K38+K41+K42+K47+K48+K52+K40</f>
        <v>9344.11</v>
      </c>
      <c r="L33" s="18"/>
      <c r="M33" s="18">
        <f>M34+M35+M36+M37+M38+M41+M42+M47+M48+M52+M40+M39</f>
        <v>954.5</v>
      </c>
      <c r="N33" s="18">
        <f>N34+N35+N36+N37+N38+N41+N42+N47+N48+N52+N40+N39</f>
        <v>2686.6800000000003</v>
      </c>
      <c r="O33" s="49">
        <f t="shared" si="3"/>
        <v>1732.1800000000003</v>
      </c>
      <c r="P33" s="31">
        <f>N33/M33*100</f>
        <v>281.4751178627554</v>
      </c>
      <c r="Q33" s="31">
        <f>N33-1017.63</f>
        <v>1669.0500000000002</v>
      </c>
      <c r="R33" s="127">
        <f>N33/1017.63</f>
        <v>2.640134429999116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143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184.16</v>
      </c>
      <c r="G36" s="43">
        <f t="shared" si="0"/>
        <v>184.16</v>
      </c>
      <c r="H36" s="35"/>
      <c r="I36" s="50">
        <f t="shared" si="1"/>
        <v>184.16</v>
      </c>
      <c r="J36" s="50"/>
      <c r="K36" s="50">
        <f>F36-214.58</f>
        <v>-30.420000000000016</v>
      </c>
      <c r="L36" s="50">
        <f>F36/214.58*100</f>
        <v>85.82346910243265</v>
      </c>
      <c r="M36" s="35">
        <f>E36-травень!E36</f>
        <v>0</v>
      </c>
      <c r="N36" s="35">
        <f>F36-травень!F36</f>
        <v>71.36</v>
      </c>
      <c r="O36" s="47">
        <f t="shared" si="3"/>
        <v>71.36</v>
      </c>
      <c r="P36" s="50"/>
      <c r="Q36" s="50">
        <f>N36-4.23</f>
        <v>67.13</v>
      </c>
      <c r="R36" s="126">
        <f>N36/4.23</f>
        <v>16.86997635933806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143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143">
        <v>80.06</v>
      </c>
      <c r="G38" s="43">
        <f t="shared" si="0"/>
        <v>15.060000000000002</v>
      </c>
      <c r="H38" s="35">
        <f>F38/E38*100</f>
        <v>123.16923076923077</v>
      </c>
      <c r="I38" s="50">
        <f t="shared" si="1"/>
        <v>-59.94</v>
      </c>
      <c r="J38" s="50">
        <f t="shared" si="6"/>
        <v>57.18571428571428</v>
      </c>
      <c r="K38" s="50">
        <f>F38-61.77</f>
        <v>18.29</v>
      </c>
      <c r="L38" s="50">
        <f>F38/61.77*100</f>
        <v>129.609842965841</v>
      </c>
      <c r="M38" s="35">
        <f>E38-травень!E38</f>
        <v>14</v>
      </c>
      <c r="N38" s="35">
        <f>F38-травень!F38</f>
        <v>14.879999999999995</v>
      </c>
      <c r="O38" s="47">
        <f t="shared" si="3"/>
        <v>0.8799999999999955</v>
      </c>
      <c r="P38" s="50">
        <f>N38/M38*100</f>
        <v>106.28571428571425</v>
      </c>
      <c r="Q38" s="50">
        <f>N38-9.02</f>
        <v>5.859999999999996</v>
      </c>
      <c r="R38" s="126">
        <f>N38/9.02</f>
        <v>1.6496674057649663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4829.46</v>
      </c>
      <c r="G40" s="43"/>
      <c r="H40" s="35"/>
      <c r="I40" s="50">
        <f t="shared" si="1"/>
        <v>4829.46</v>
      </c>
      <c r="J40" s="50"/>
      <c r="K40" s="50">
        <f>F40-0</f>
        <v>4829.46</v>
      </c>
      <c r="L40" s="50"/>
      <c r="M40" s="35">
        <f>E40-травень!E40</f>
        <v>0</v>
      </c>
      <c r="N40" s="35">
        <f>F40-травень!F40</f>
        <v>713.9200000000001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143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143">
        <v>3988.96</v>
      </c>
      <c r="G42" s="43">
        <f t="shared" si="0"/>
        <v>3538.96</v>
      </c>
      <c r="H42" s="35">
        <f>F42/E42*100</f>
        <v>886.4355555555555</v>
      </c>
      <c r="I42" s="50">
        <f t="shared" si="1"/>
        <v>2888.96</v>
      </c>
      <c r="J42" s="50">
        <f t="shared" si="6"/>
        <v>362.63272727272727</v>
      </c>
      <c r="K42" s="50">
        <f>F42-415.33</f>
        <v>3573.63</v>
      </c>
      <c r="L42" s="50">
        <f>F42/415.33*100</f>
        <v>960.4314641369515</v>
      </c>
      <c r="M42" s="35">
        <f>E42-травень!E42</f>
        <v>70</v>
      </c>
      <c r="N42" s="35">
        <f>F42-травень!F42</f>
        <v>620.3600000000001</v>
      </c>
      <c r="O42" s="47">
        <f t="shared" si="3"/>
        <v>550.3600000000001</v>
      </c>
      <c r="P42" s="50">
        <f>N42/M42*100</f>
        <v>886.2285714285716</v>
      </c>
      <c r="Q42" s="50">
        <f>N42-79.51</f>
        <v>540.8500000000001</v>
      </c>
      <c r="R42" s="126">
        <f>N42/79.51</f>
        <v>7.8022890202490265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144">
        <v>580.77</v>
      </c>
      <c r="G43" s="135">
        <f t="shared" si="0"/>
        <v>190.76999999999998</v>
      </c>
      <c r="H43" s="137">
        <f>F43/E43*100</f>
        <v>148.9153846153846</v>
      </c>
      <c r="I43" s="136">
        <f t="shared" si="1"/>
        <v>-389.23</v>
      </c>
      <c r="J43" s="136">
        <f t="shared" si="6"/>
        <v>59.873195876288655</v>
      </c>
      <c r="K43" s="136">
        <f>F43-359.18</f>
        <v>221.58999999999997</v>
      </c>
      <c r="L43" s="136">
        <f>F43/359.18*100</f>
        <v>161.6933014087644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45.11</v>
      </c>
      <c r="G44" s="135">
        <f t="shared" si="0"/>
        <v>45.11</v>
      </c>
      <c r="H44" s="137"/>
      <c r="I44" s="136">
        <f t="shared" si="1"/>
        <v>45.11</v>
      </c>
      <c r="J44" s="136"/>
      <c r="K44" s="136">
        <f>F44-0</f>
        <v>45.11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144">
        <v>3362.33</v>
      </c>
      <c r="G46" s="135">
        <f t="shared" si="0"/>
        <v>3282.33</v>
      </c>
      <c r="H46" s="137">
        <f>F46/E46*100</f>
        <v>4202.9125</v>
      </c>
      <c r="I46" s="136">
        <f t="shared" si="1"/>
        <v>3232.33</v>
      </c>
      <c r="J46" s="136">
        <f t="shared" si="6"/>
        <v>2586.4076923076923</v>
      </c>
      <c r="K46" s="136">
        <f>F46-56.15</f>
        <v>3306.18</v>
      </c>
      <c r="L46" s="136">
        <f>F46/56.15*100</f>
        <v>5988.121104185218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143">
        <v>2193.36</v>
      </c>
      <c r="G48" s="43">
        <f t="shared" si="0"/>
        <v>213.36000000000013</v>
      </c>
      <c r="H48" s="35">
        <f>F48/E48*100</f>
        <v>110.77575757575757</v>
      </c>
      <c r="I48" s="50">
        <f t="shared" si="1"/>
        <v>-2006.6399999999999</v>
      </c>
      <c r="J48" s="50">
        <f>F48/D48*100</f>
        <v>52.22285714285715</v>
      </c>
      <c r="K48" s="50">
        <f>F48-1967.92</f>
        <v>225.44000000000005</v>
      </c>
      <c r="L48" s="50">
        <f>F48/1967.92*100</f>
        <v>111.45575023374934</v>
      </c>
      <c r="M48" s="35">
        <f>E48-травень!E48</f>
        <v>310</v>
      </c>
      <c r="N48" s="35">
        <f>F48-травень!F48</f>
        <v>365.49000000000024</v>
      </c>
      <c r="O48" s="47">
        <f t="shared" si="3"/>
        <v>55.49000000000024</v>
      </c>
      <c r="P48" s="50">
        <f aca="true" t="shared" si="7" ref="P48:P53">N48/M48*100</f>
        <v>117.90000000000008</v>
      </c>
      <c r="Q48" s="50">
        <f>N48-277.38</f>
        <v>88.11000000000024</v>
      </c>
      <c r="R48" s="126">
        <f>N48/277.38</f>
        <v>1.317650876054511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568.7</v>
      </c>
      <c r="G51" s="135">
        <f t="shared" si="0"/>
        <v>568.7</v>
      </c>
      <c r="H51" s="137"/>
      <c r="I51" s="136">
        <f t="shared" si="1"/>
        <v>568.7</v>
      </c>
      <c r="J51" s="136"/>
      <c r="K51" s="136">
        <f>F51-290</f>
        <v>278.70000000000005</v>
      </c>
      <c r="L51" s="138">
        <f>F51/290*100</f>
        <v>196.1034482758621</v>
      </c>
      <c r="M51" s="137">
        <f>E51-травень!E51</f>
        <v>0</v>
      </c>
      <c r="N51" s="137">
        <f>F51-травень!F51</f>
        <v>135.80000000000007</v>
      </c>
      <c r="O51" s="138">
        <f t="shared" si="3"/>
        <v>135.80000000000007</v>
      </c>
      <c r="P51" s="136"/>
      <c r="Q51" s="50">
        <f>N51-64.93</f>
        <v>70.87000000000006</v>
      </c>
      <c r="R51" s="126">
        <f>N51/64.93</f>
        <v>2.091483135684584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143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18">
        <f>F8+F33+F53+F54</f>
        <v>306115.44000000006</v>
      </c>
      <c r="G55" s="44">
        <f>F55-E55</f>
        <v>18388.740000000107</v>
      </c>
      <c r="H55" s="45">
        <f>F55/E55*100</f>
        <v>106.39104400113028</v>
      </c>
      <c r="I55" s="31">
        <f>F55-D55</f>
        <v>-223907.15999999992</v>
      </c>
      <c r="J55" s="31">
        <f>F55/D55*100</f>
        <v>57.75516742116281</v>
      </c>
      <c r="K55" s="31">
        <f>K8+K33+K53+K54</f>
        <v>66465.19599999998</v>
      </c>
      <c r="L55" s="31">
        <f>(K55/(F55+K55))*100</f>
        <v>17.839143953793663</v>
      </c>
      <c r="M55" s="18">
        <f>M8+M33+M53+M54</f>
        <v>59027.39999999999</v>
      </c>
      <c r="N55" s="18">
        <f>N8+N33+N53+N54</f>
        <v>40381.270000000004</v>
      </c>
      <c r="O55" s="49">
        <f>N55-M55</f>
        <v>-18646.129999999983</v>
      </c>
      <c r="P55" s="31">
        <f>N55/M55*100</f>
        <v>68.41105994843075</v>
      </c>
      <c r="Q55" s="31">
        <f>N55-34768</f>
        <v>5613.270000000004</v>
      </c>
      <c r="R55" s="171">
        <f>N55/34768</f>
        <v>1.1614493212149104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193.99</v>
      </c>
      <c r="G64" s="43">
        <f t="shared" si="8"/>
        <v>-206.01</v>
      </c>
      <c r="H64" s="35"/>
      <c r="I64" s="53">
        <f t="shared" si="9"/>
        <v>-2306.01</v>
      </c>
      <c r="J64" s="53">
        <f t="shared" si="11"/>
        <v>7.7596</v>
      </c>
      <c r="K64" s="53">
        <f>F64-1658.94</f>
        <v>-1464.95</v>
      </c>
      <c r="L64" s="53">
        <f>F64/1658.94*100</f>
        <v>11.69361158330018</v>
      </c>
      <c r="M64" s="35">
        <f>E64-травень!E64</f>
        <v>0</v>
      </c>
      <c r="N64" s="35">
        <f>F64-травень!F64</f>
        <v>0.030000000000001137</v>
      </c>
      <c r="O64" s="47">
        <f t="shared" si="10"/>
        <v>0.030000000000001137</v>
      </c>
      <c r="P64" s="53"/>
      <c r="Q64" s="53">
        <f>N64-0.04</f>
        <v>-0.009999999999998864</v>
      </c>
      <c r="R64" s="129">
        <f>N64/0.04</f>
        <v>0.7500000000000284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146">
        <v>3158.58</v>
      </c>
      <c r="G65" s="43">
        <f t="shared" si="8"/>
        <v>658.8800000000001</v>
      </c>
      <c r="H65" s="35">
        <f>F65/E65*100</f>
        <v>126.35836300356043</v>
      </c>
      <c r="I65" s="53">
        <f t="shared" si="9"/>
        <v>-8417.42</v>
      </c>
      <c r="J65" s="53">
        <f t="shared" si="11"/>
        <v>27.28559087767795</v>
      </c>
      <c r="K65" s="53">
        <f>F65-2117.13</f>
        <v>1041.4499999999998</v>
      </c>
      <c r="L65" s="53">
        <f>F65/2117.13*100</f>
        <v>149.19159428093693</v>
      </c>
      <c r="M65" s="35">
        <f>E65-травень!E65</f>
        <v>436.03999999999996</v>
      </c>
      <c r="N65" s="35">
        <f>F65-травень!F65</f>
        <v>691.0699999999997</v>
      </c>
      <c r="O65" s="47">
        <f t="shared" si="10"/>
        <v>255.02999999999975</v>
      </c>
      <c r="P65" s="53">
        <f>N65/M65*100</f>
        <v>158.48775341711766</v>
      </c>
      <c r="Q65" s="53">
        <f>N65-450.01</f>
        <v>241.05999999999972</v>
      </c>
      <c r="R65" s="129">
        <f>N65/450.01</f>
        <v>1.5356769849558893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146">
        <v>1668.42</v>
      </c>
      <c r="G66" s="43">
        <f t="shared" si="8"/>
        <v>927.9200000000001</v>
      </c>
      <c r="H66" s="35">
        <f>F66/E66*100</f>
        <v>225.30992572586092</v>
      </c>
      <c r="I66" s="53">
        <f t="shared" si="9"/>
        <v>-1331.58</v>
      </c>
      <c r="J66" s="53">
        <f t="shared" si="11"/>
        <v>55.614000000000004</v>
      </c>
      <c r="K66" s="53">
        <f>F66-728.31</f>
        <v>940.1100000000001</v>
      </c>
      <c r="L66" s="53">
        <f>F66/728.31*100</f>
        <v>229.08102319067433</v>
      </c>
      <c r="M66" s="35">
        <f>E66-травень!E66</f>
        <v>148.10000000000002</v>
      </c>
      <c r="N66" s="35">
        <f>F66-травень!F66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145">
        <f>F64+F65+F66</f>
        <v>5020.99</v>
      </c>
      <c r="G67" s="55">
        <f t="shared" si="8"/>
        <v>1380.79</v>
      </c>
      <c r="H67" s="65">
        <f>F67/E67*100</f>
        <v>137.93170704906322</v>
      </c>
      <c r="I67" s="54">
        <f t="shared" si="9"/>
        <v>-12055.01</v>
      </c>
      <c r="J67" s="54">
        <f t="shared" si="11"/>
        <v>29.40378308737409</v>
      </c>
      <c r="K67" s="54">
        <f>K64+K65+K66</f>
        <v>516.6099999999999</v>
      </c>
      <c r="L67" s="54"/>
      <c r="M67" s="55">
        <f>M64+M65+M66</f>
        <v>584.14</v>
      </c>
      <c r="N67" s="55">
        <f>N64+N65+N66</f>
        <v>691.3199999999997</v>
      </c>
      <c r="O67" s="54">
        <f t="shared" si="10"/>
        <v>107.17999999999972</v>
      </c>
      <c r="P67" s="54">
        <f>N67/M67*100</f>
        <v>118.34834115109388</v>
      </c>
      <c r="Q67" s="54">
        <f>N67-7985.28</f>
        <v>-7293.96</v>
      </c>
      <c r="R67" s="173">
        <f>N67/7985.28</f>
        <v>0.0865742967059389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F70-0.26</f>
        <v>0.69</v>
      </c>
      <c r="L70" s="53">
        <f>F70/0.26*100</f>
        <v>365.38461538461536</v>
      </c>
      <c r="M70" s="35">
        <f>E70-травень!E70</f>
        <v>0</v>
      </c>
      <c r="N70" s="35">
        <f>F70-травень!F70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145">
        <f>F68+F70+F69</f>
        <v>0.95</v>
      </c>
      <c r="G71" s="55">
        <f>F71-E71</f>
        <v>-23.05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-31.24</v>
      </c>
      <c r="L71" s="54"/>
      <c r="M71" s="55">
        <f>M68+M70+M69</f>
        <v>3</v>
      </c>
      <c r="N71" s="55">
        <f>N68+N70+N69</f>
        <v>0</v>
      </c>
      <c r="O71" s="54">
        <f>N71-M71</f>
        <v>-3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146">
        <v>14.32</v>
      </c>
      <c r="G72" s="43">
        <f>F72-E72</f>
        <v>-7.469999999999999</v>
      </c>
      <c r="H72" s="35">
        <f>F72/E72*100</f>
        <v>65.71821936668198</v>
      </c>
      <c r="I72" s="53">
        <f>F72-D72</f>
        <v>-27.68</v>
      </c>
      <c r="J72" s="53">
        <f>F72/D72*100</f>
        <v>34.095238095238095</v>
      </c>
      <c r="K72" s="53">
        <f>F72-21.12</f>
        <v>-6.800000000000001</v>
      </c>
      <c r="L72" s="53">
        <f>F72/21.12*100</f>
        <v>67.8030303030303</v>
      </c>
      <c r="M72" s="35">
        <f>E72-травень!E72</f>
        <v>8</v>
      </c>
      <c r="N72" s="35">
        <f>F72-травень!F72</f>
        <v>0.2699999999999996</v>
      </c>
      <c r="O72" s="47">
        <f>N72-M72</f>
        <v>-7.73</v>
      </c>
      <c r="P72" s="53">
        <f>N72/M72*100</f>
        <v>3.3749999999999947</v>
      </c>
      <c r="Q72" s="53">
        <f>N72-0.45</f>
        <v>-0.18000000000000044</v>
      </c>
      <c r="R72" s="129">
        <f>N72/0.45</f>
        <v>0.5999999999999991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7">
        <f>F62+F72+F67+F71+F73</f>
        <v>5005.419999999999</v>
      </c>
      <c r="G74" s="44">
        <f>F74-E74</f>
        <v>1319.4299999999994</v>
      </c>
      <c r="H74" s="45">
        <f>F74/E74*100</f>
        <v>135.79581062346887</v>
      </c>
      <c r="I74" s="31">
        <f>F74-D74</f>
        <v>-12166.580000000002</v>
      </c>
      <c r="J74" s="31">
        <f>F74/D74*100</f>
        <v>29.148730491497783</v>
      </c>
      <c r="K74" s="31">
        <f>K62+K67+K71+K72</f>
        <v>283.45999999999987</v>
      </c>
      <c r="L74" s="31"/>
      <c r="M74" s="27">
        <f>M62+M72+M67+M71</f>
        <v>595.14</v>
      </c>
      <c r="N74" s="27">
        <f>N62+N72+N67+N71+N73</f>
        <v>679.9399999999997</v>
      </c>
      <c r="O74" s="31">
        <f>N74-M74</f>
        <v>84.79999999999973</v>
      </c>
      <c r="P74" s="31">
        <f>N74/M74*100</f>
        <v>114.24874819370228</v>
      </c>
      <c r="Q74" s="31">
        <f>N74-8104.96</f>
        <v>-7425.02</v>
      </c>
      <c r="R74" s="127">
        <f>N74/8104.96</f>
        <v>0.08389183907138341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7">
        <f>F55+F74</f>
        <v>311120.86000000004</v>
      </c>
      <c r="G75" s="44">
        <f>F75-E75</f>
        <v>19708.1700000001</v>
      </c>
      <c r="H75" s="45">
        <f>F75/E75*100</f>
        <v>106.76297590197603</v>
      </c>
      <c r="I75" s="31">
        <f>F75-D75</f>
        <v>-236073.73999999993</v>
      </c>
      <c r="J75" s="31">
        <f>F75/D75*100</f>
        <v>56.85744340313301</v>
      </c>
      <c r="K75" s="31">
        <f>K55+K74</f>
        <v>66748.65599999999</v>
      </c>
      <c r="L75" s="31"/>
      <c r="M75" s="18">
        <f>M55+M74</f>
        <v>59622.539999999986</v>
      </c>
      <c r="N75" s="18">
        <f>N55+N74</f>
        <v>41061.21000000001</v>
      </c>
      <c r="O75" s="31">
        <f>N75-M75</f>
        <v>-18561.32999999998</v>
      </c>
      <c r="P75" s="31">
        <f>N75/M75*100</f>
        <v>68.86860237755724</v>
      </c>
      <c r="Q75" s="31">
        <f>N75-42872.96</f>
        <v>-1811.7499999999927</v>
      </c>
      <c r="R75" s="127">
        <f>N75/42872.96</f>
        <v>0.9577414295630627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2</v>
      </c>
      <c r="D77" s="4" t="s">
        <v>118</v>
      </c>
    </row>
    <row r="78" spans="2:17" ht="31.5">
      <c r="B78" s="71" t="s">
        <v>154</v>
      </c>
      <c r="C78" s="34">
        <f>IF(O55&lt;0,ABS(O55/C77),0)</f>
        <v>9323.064999999991</v>
      </c>
      <c r="D78" s="4" t="s">
        <v>104</v>
      </c>
      <c r="G78" s="219"/>
      <c r="H78" s="219"/>
      <c r="I78" s="219"/>
      <c r="J78" s="219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42180</v>
      </c>
      <c r="D79" s="34">
        <v>4146.6</v>
      </c>
      <c r="N79" s="207"/>
      <c r="O79" s="207"/>
    </row>
    <row r="80" spans="3:15" ht="15.75">
      <c r="C80" s="111">
        <v>42179</v>
      </c>
      <c r="D80" s="34">
        <v>1181.5</v>
      </c>
      <c r="F80" s="155" t="s">
        <v>166</v>
      </c>
      <c r="G80" s="208"/>
      <c r="H80" s="208"/>
      <c r="I80" s="177"/>
      <c r="J80" s="205"/>
      <c r="K80" s="205"/>
      <c r="L80" s="205"/>
      <c r="M80" s="205"/>
      <c r="N80" s="207"/>
      <c r="O80" s="207"/>
    </row>
    <row r="81" spans="3:15" ht="15.75" customHeight="1">
      <c r="C81" s="111">
        <v>42178</v>
      </c>
      <c r="D81" s="34">
        <v>1732.5</v>
      </c>
      <c r="G81" s="214" t="s">
        <v>151</v>
      </c>
      <c r="H81" s="214"/>
      <c r="I81" s="106">
        <v>8909.73221</v>
      </c>
      <c r="J81" s="206"/>
      <c r="K81" s="206"/>
      <c r="L81" s="206"/>
      <c r="M81" s="206"/>
      <c r="N81" s="207"/>
      <c r="O81" s="207"/>
    </row>
    <row r="82" spans="3:13" ht="15.75" customHeight="1">
      <c r="C82" s="111"/>
      <c r="G82" s="215" t="s">
        <v>234</v>
      </c>
      <c r="H82" s="216"/>
      <c r="I82" s="103">
        <v>0</v>
      </c>
      <c r="J82" s="205"/>
      <c r="K82" s="205"/>
      <c r="L82" s="205"/>
      <c r="M82" s="205"/>
    </row>
    <row r="83" spans="2:13" ht="18.75" customHeight="1">
      <c r="B83" s="212" t="s">
        <v>160</v>
      </c>
      <c r="C83" s="213"/>
      <c r="D83" s="108">
        <v>152686.06468</v>
      </c>
      <c r="E83" s="73"/>
      <c r="F83" s="156" t="s">
        <v>147</v>
      </c>
      <c r="G83" s="214" t="s">
        <v>149</v>
      </c>
      <c r="H83" s="214"/>
      <c r="I83" s="107">
        <v>143776.33247</v>
      </c>
      <c r="J83" s="205"/>
      <c r="K83" s="205"/>
      <c r="L83" s="205"/>
      <c r="M83" s="205"/>
    </row>
    <row r="84" spans="7:12" ht="9.75" customHeight="1">
      <c r="G84" s="208"/>
      <c r="H84" s="208"/>
      <c r="I84" s="90"/>
      <c r="J84" s="91"/>
      <c r="K84" s="91"/>
      <c r="L84" s="91"/>
    </row>
    <row r="85" spans="2:12" ht="22.5" customHeight="1" hidden="1">
      <c r="B85" s="209" t="s">
        <v>167</v>
      </c>
      <c r="C85" s="210"/>
      <c r="D85" s="110">
        <v>0</v>
      </c>
      <c r="E85" s="70" t="s">
        <v>104</v>
      </c>
      <c r="G85" s="208"/>
      <c r="H85" s="208"/>
      <c r="I85" s="90"/>
      <c r="J85" s="91"/>
      <c r="K85" s="91"/>
      <c r="L85" s="91"/>
    </row>
    <row r="86" spans="4:15" ht="15.75">
      <c r="D86" s="105"/>
      <c r="N86" s="208"/>
      <c r="O86" s="208"/>
    </row>
    <row r="87" spans="4:15" ht="15.75">
      <c r="D87" s="104"/>
      <c r="I87" s="34"/>
      <c r="N87" s="211"/>
      <c r="O87" s="211"/>
    </row>
    <row r="88" spans="14:15" ht="15.75">
      <c r="N88" s="208"/>
      <c r="O88" s="20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34" sqref="B3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274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266</v>
      </c>
      <c r="N3" s="244" t="s">
        <v>267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262</v>
      </c>
      <c r="F4" s="227" t="s">
        <v>116</v>
      </c>
      <c r="G4" s="229" t="s">
        <v>263</v>
      </c>
      <c r="H4" s="231" t="s">
        <v>264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273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265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432.9</v>
      </c>
      <c r="G51" s="135">
        <f t="shared" si="7"/>
        <v>432.9</v>
      </c>
      <c r="H51" s="137"/>
      <c r="I51" s="136">
        <f t="shared" si="8"/>
        <v>432.9</v>
      </c>
      <c r="J51" s="136"/>
      <c r="K51" s="136">
        <f>F51-290</f>
        <v>142.89999999999998</v>
      </c>
      <c r="L51" s="138">
        <f>F51/290*100</f>
        <v>149.2758620689655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(K55/(F55+K55))*100</f>
        <v>19.58595754938715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/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19"/>
      <c r="H78" s="219"/>
      <c r="I78" s="219"/>
      <c r="J78" s="219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07"/>
      <c r="O79" s="207"/>
    </row>
    <row r="80" spans="3:15" ht="15.75">
      <c r="C80" s="111">
        <v>42152</v>
      </c>
      <c r="D80" s="34">
        <v>5845.4</v>
      </c>
      <c r="F80" s="155" t="s">
        <v>166</v>
      </c>
      <c r="G80" s="208"/>
      <c r="H80" s="208"/>
      <c r="I80" s="177"/>
      <c r="J80" s="205"/>
      <c r="K80" s="205"/>
      <c r="L80" s="205"/>
      <c r="M80" s="205"/>
      <c r="N80" s="207"/>
      <c r="O80" s="207"/>
    </row>
    <row r="81" spans="3:15" ht="15.75" customHeight="1">
      <c r="C81" s="111">
        <v>42151</v>
      </c>
      <c r="D81" s="34">
        <v>3158.7</v>
      </c>
      <c r="G81" s="214" t="s">
        <v>151</v>
      </c>
      <c r="H81" s="214"/>
      <c r="I81" s="106">
        <v>8909.73221</v>
      </c>
      <c r="J81" s="206"/>
      <c r="K81" s="206"/>
      <c r="L81" s="206"/>
      <c r="M81" s="206"/>
      <c r="N81" s="207"/>
      <c r="O81" s="207"/>
    </row>
    <row r="82" spans="7:13" ht="15.75" customHeight="1">
      <c r="G82" s="215" t="s">
        <v>234</v>
      </c>
      <c r="H82" s="216"/>
      <c r="I82" s="103">
        <v>0</v>
      </c>
      <c r="J82" s="205"/>
      <c r="K82" s="205"/>
      <c r="L82" s="205"/>
      <c r="M82" s="205"/>
    </row>
    <row r="83" spans="2:13" ht="18.75" customHeight="1">
      <c r="B83" s="212" t="s">
        <v>160</v>
      </c>
      <c r="C83" s="213"/>
      <c r="D83" s="108">
        <v>153606.78</v>
      </c>
      <c r="E83" s="73"/>
      <c r="F83" s="156" t="s">
        <v>147</v>
      </c>
      <c r="G83" s="214" t="s">
        <v>149</v>
      </c>
      <c r="H83" s="214"/>
      <c r="I83" s="107">
        <v>144697.05</v>
      </c>
      <c r="J83" s="205"/>
      <c r="K83" s="205"/>
      <c r="L83" s="205"/>
      <c r="M83" s="205"/>
    </row>
    <row r="84" spans="7:12" ht="9.75" customHeight="1">
      <c r="G84" s="208"/>
      <c r="H84" s="208"/>
      <c r="I84" s="90"/>
      <c r="J84" s="91"/>
      <c r="K84" s="91"/>
      <c r="L84" s="91"/>
    </row>
    <row r="85" spans="2:12" ht="22.5" customHeight="1" hidden="1">
      <c r="B85" s="209" t="s">
        <v>167</v>
      </c>
      <c r="C85" s="210"/>
      <c r="D85" s="110">
        <v>0</v>
      </c>
      <c r="E85" s="70" t="s">
        <v>104</v>
      </c>
      <c r="G85" s="208"/>
      <c r="H85" s="208"/>
      <c r="I85" s="90"/>
      <c r="J85" s="91"/>
      <c r="K85" s="91"/>
      <c r="L85" s="91"/>
    </row>
    <row r="86" spans="4:15" ht="15.75">
      <c r="D86" s="105"/>
      <c r="N86" s="208"/>
      <c r="O86" s="208"/>
    </row>
    <row r="87" spans="4:15" ht="15.75">
      <c r="D87" s="104"/>
      <c r="I87" s="34"/>
      <c r="N87" s="211"/>
      <c r="O87" s="211"/>
    </row>
    <row r="88" spans="14:15" ht="15.75">
      <c r="N88" s="208"/>
      <c r="O88" s="20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7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89" sqref="H8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259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240</v>
      </c>
      <c r="N3" s="244" t="s">
        <v>241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237</v>
      </c>
      <c r="F4" s="247" t="s">
        <v>116</v>
      </c>
      <c r="G4" s="229" t="s">
        <v>238</v>
      </c>
      <c r="H4" s="231" t="s">
        <v>239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260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48"/>
      <c r="G5" s="230"/>
      <c r="H5" s="232"/>
      <c r="I5" s="225"/>
      <c r="J5" s="221"/>
      <c r="K5" s="217" t="s">
        <v>242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315.7</v>
      </c>
      <c r="G75" s="135">
        <f t="shared" si="12"/>
        <v>315.7</v>
      </c>
      <c r="H75" s="137"/>
      <c r="I75" s="136">
        <f t="shared" si="13"/>
        <v>315.7</v>
      </c>
      <c r="J75" s="136"/>
      <c r="K75" s="136">
        <f>F75-234.45</f>
        <v>81.25</v>
      </c>
      <c r="L75" s="138">
        <f>F75/234.45*100</f>
        <v>134.6555768820644</v>
      </c>
      <c r="M75" s="35">
        <f>E75-березень!E78</f>
        <v>0</v>
      </c>
      <c r="N75" s="35">
        <f>F75-березень!F78</f>
        <v>76.1</v>
      </c>
      <c r="O75" s="138">
        <f t="shared" si="15"/>
        <v>76.1</v>
      </c>
      <c r="P75" s="136"/>
      <c r="Q75" s="50">
        <f>N75-64.93</f>
        <v>11.169999999999987</v>
      </c>
      <c r="R75" s="126">
        <f>N75/64.93</f>
        <v>1.1720314184506389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19"/>
      <c r="H103" s="219"/>
      <c r="I103" s="219"/>
      <c r="J103" s="219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07"/>
      <c r="O104" s="207"/>
    </row>
    <row r="105" spans="3:15" ht="15.75">
      <c r="C105" s="111">
        <v>42123</v>
      </c>
      <c r="D105" s="34">
        <v>7959.6</v>
      </c>
      <c r="F105" s="201" t="s">
        <v>166</v>
      </c>
      <c r="G105" s="208"/>
      <c r="H105" s="208"/>
      <c r="I105" s="177"/>
      <c r="J105" s="205"/>
      <c r="K105" s="205"/>
      <c r="L105" s="205"/>
      <c r="M105" s="205"/>
      <c r="N105" s="207"/>
      <c r="O105" s="207"/>
    </row>
    <row r="106" spans="3:15" ht="15.75" customHeight="1">
      <c r="C106" s="111">
        <v>42122</v>
      </c>
      <c r="D106" s="34">
        <v>4962.7</v>
      </c>
      <c r="G106" s="214" t="s">
        <v>151</v>
      </c>
      <c r="H106" s="214"/>
      <c r="I106" s="106">
        <v>8909.73221</v>
      </c>
      <c r="J106" s="206"/>
      <c r="K106" s="206"/>
      <c r="L106" s="206"/>
      <c r="M106" s="206"/>
      <c r="N106" s="207"/>
      <c r="O106" s="207"/>
    </row>
    <row r="107" spans="7:13" ht="15.75" customHeight="1">
      <c r="G107" s="215" t="s">
        <v>234</v>
      </c>
      <c r="H107" s="216"/>
      <c r="I107" s="103">
        <v>0</v>
      </c>
      <c r="J107" s="205"/>
      <c r="K107" s="205"/>
      <c r="L107" s="205"/>
      <c r="M107" s="205"/>
    </row>
    <row r="108" spans="2:13" ht="18.75" customHeight="1">
      <c r="B108" s="212" t="s">
        <v>160</v>
      </c>
      <c r="C108" s="213"/>
      <c r="D108" s="108">
        <v>154856.06924</v>
      </c>
      <c r="E108" s="73"/>
      <c r="F108" s="202" t="s">
        <v>147</v>
      </c>
      <c r="G108" s="214" t="s">
        <v>149</v>
      </c>
      <c r="H108" s="214"/>
      <c r="I108" s="107">
        <v>145946.33703</v>
      </c>
      <c r="J108" s="205"/>
      <c r="K108" s="205"/>
      <c r="L108" s="205"/>
      <c r="M108" s="205"/>
    </row>
    <row r="109" spans="7:12" ht="9.75" customHeight="1">
      <c r="G109" s="208"/>
      <c r="H109" s="208"/>
      <c r="I109" s="90"/>
      <c r="J109" s="91"/>
      <c r="K109" s="91"/>
      <c r="L109" s="91"/>
    </row>
    <row r="110" spans="2:12" ht="22.5" customHeight="1" hidden="1">
      <c r="B110" s="209" t="s">
        <v>167</v>
      </c>
      <c r="C110" s="210"/>
      <c r="D110" s="110">
        <v>0</v>
      </c>
      <c r="E110" s="70" t="s">
        <v>104</v>
      </c>
      <c r="G110" s="208"/>
      <c r="H110" s="208"/>
      <c r="I110" s="90"/>
      <c r="J110" s="91"/>
      <c r="K110" s="91"/>
      <c r="L110" s="91"/>
    </row>
    <row r="111" spans="4:15" ht="15.75">
      <c r="D111" s="105"/>
      <c r="N111" s="208"/>
      <c r="O111" s="208"/>
    </row>
    <row r="112" spans="4:15" ht="15.75">
      <c r="D112" s="104"/>
      <c r="I112" s="34"/>
      <c r="N112" s="211"/>
      <c r="O112" s="211"/>
    </row>
    <row r="113" spans="14:15" ht="15.75">
      <c r="N113" s="208"/>
      <c r="O113" s="208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235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231</v>
      </c>
      <c r="N3" s="244" t="s">
        <v>232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228</v>
      </c>
      <c r="F4" s="227" t="s">
        <v>116</v>
      </c>
      <c r="G4" s="229" t="s">
        <v>229</v>
      </c>
      <c r="H4" s="231" t="s">
        <v>230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236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233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19"/>
      <c r="H104" s="219"/>
      <c r="I104" s="219"/>
      <c r="J104" s="21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07"/>
      <c r="O105" s="207"/>
    </row>
    <row r="106" spans="3:15" ht="15.75">
      <c r="C106" s="111">
        <v>42093</v>
      </c>
      <c r="D106" s="34">
        <v>8025</v>
      </c>
      <c r="F106" s="155" t="s">
        <v>166</v>
      </c>
      <c r="G106" s="208"/>
      <c r="H106" s="208"/>
      <c r="I106" s="177"/>
      <c r="J106" s="205"/>
      <c r="K106" s="205"/>
      <c r="L106" s="205"/>
      <c r="M106" s="205"/>
      <c r="N106" s="207"/>
      <c r="O106" s="207"/>
    </row>
    <row r="107" spans="3:15" ht="15.75" customHeight="1">
      <c r="C107" s="111">
        <v>42090</v>
      </c>
      <c r="D107" s="34">
        <v>4282.6</v>
      </c>
      <c r="G107" s="214" t="s">
        <v>151</v>
      </c>
      <c r="H107" s="214"/>
      <c r="I107" s="106">
        <f>8909732.21/1000</f>
        <v>8909.73221</v>
      </c>
      <c r="J107" s="206"/>
      <c r="K107" s="206"/>
      <c r="L107" s="206"/>
      <c r="M107" s="206"/>
      <c r="N107" s="207"/>
      <c r="O107" s="207"/>
    </row>
    <row r="108" spans="7:13" ht="15.75" customHeight="1">
      <c r="G108" s="215" t="s">
        <v>234</v>
      </c>
      <c r="H108" s="216"/>
      <c r="I108" s="103">
        <v>0</v>
      </c>
      <c r="J108" s="205"/>
      <c r="K108" s="205"/>
      <c r="L108" s="205"/>
      <c r="M108" s="205"/>
    </row>
    <row r="109" spans="2:13" ht="18.75" customHeight="1">
      <c r="B109" s="212" t="s">
        <v>160</v>
      </c>
      <c r="C109" s="213"/>
      <c r="D109" s="108">
        <f>147433239.77/1000</f>
        <v>147433.23977000001</v>
      </c>
      <c r="E109" s="73"/>
      <c r="F109" s="156" t="s">
        <v>147</v>
      </c>
      <c r="G109" s="214" t="s">
        <v>149</v>
      </c>
      <c r="H109" s="214"/>
      <c r="I109" s="107">
        <f>138523507.56/1000</f>
        <v>138523.50756</v>
      </c>
      <c r="J109" s="205"/>
      <c r="K109" s="205"/>
      <c r="L109" s="205"/>
      <c r="M109" s="205"/>
    </row>
    <row r="110" spans="7:12" ht="9.75" customHeight="1">
      <c r="G110" s="208"/>
      <c r="H110" s="208"/>
      <c r="I110" s="90"/>
      <c r="J110" s="91"/>
      <c r="K110" s="91"/>
      <c r="L110" s="91"/>
    </row>
    <row r="111" spans="2:12" ht="22.5" customHeight="1" hidden="1">
      <c r="B111" s="209" t="s">
        <v>167</v>
      </c>
      <c r="C111" s="210"/>
      <c r="D111" s="110">
        <v>0</v>
      </c>
      <c r="E111" s="70" t="s">
        <v>104</v>
      </c>
      <c r="G111" s="208"/>
      <c r="H111" s="208"/>
      <c r="I111" s="90"/>
      <c r="J111" s="91"/>
      <c r="K111" s="91"/>
      <c r="L111" s="91"/>
    </row>
    <row r="112" spans="4:15" ht="15.75">
      <c r="D112" s="105"/>
      <c r="N112" s="208"/>
      <c r="O112" s="208"/>
    </row>
    <row r="113" spans="4:15" ht="15.75">
      <c r="D113" s="104"/>
      <c r="I113" s="34"/>
      <c r="N113" s="211"/>
      <c r="O113" s="211"/>
    </row>
    <row r="114" spans="14:15" ht="15.75">
      <c r="N114" s="208"/>
      <c r="O114" s="20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227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205</v>
      </c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221</v>
      </c>
      <c r="N3" s="244" t="s">
        <v>202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199</v>
      </c>
      <c r="F4" s="227" t="s">
        <v>116</v>
      </c>
      <c r="G4" s="229" t="s">
        <v>200</v>
      </c>
      <c r="H4" s="231" t="s">
        <v>201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226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224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19"/>
      <c r="H104" s="219"/>
      <c r="I104" s="219"/>
      <c r="J104" s="21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07"/>
      <c r="O105" s="207"/>
    </row>
    <row r="106" spans="3:15" ht="15.75">
      <c r="C106" s="111">
        <v>42061</v>
      </c>
      <c r="D106" s="34">
        <v>6003.3</v>
      </c>
      <c r="F106" s="155" t="s">
        <v>166</v>
      </c>
      <c r="G106" s="208"/>
      <c r="H106" s="208"/>
      <c r="I106" s="177"/>
      <c r="J106" s="205"/>
      <c r="K106" s="205"/>
      <c r="L106" s="205"/>
      <c r="M106" s="205"/>
      <c r="N106" s="207"/>
      <c r="O106" s="207"/>
    </row>
    <row r="107" spans="3:15" ht="15.75" customHeight="1">
      <c r="C107" s="111">
        <v>42060</v>
      </c>
      <c r="D107" s="34">
        <v>1551.3</v>
      </c>
      <c r="G107" s="214" t="s">
        <v>151</v>
      </c>
      <c r="H107" s="214"/>
      <c r="I107" s="106">
        <v>8909.73221</v>
      </c>
      <c r="J107" s="206"/>
      <c r="K107" s="206"/>
      <c r="L107" s="206"/>
      <c r="M107" s="206"/>
      <c r="N107" s="207"/>
      <c r="O107" s="207"/>
    </row>
    <row r="108" spans="7:13" ht="15.75" customHeight="1">
      <c r="G108" s="249" t="s">
        <v>155</v>
      </c>
      <c r="H108" s="249"/>
      <c r="I108" s="103">
        <v>0</v>
      </c>
      <c r="J108" s="205"/>
      <c r="K108" s="205"/>
      <c r="L108" s="205"/>
      <c r="M108" s="205"/>
    </row>
    <row r="109" spans="2:13" ht="18.75" customHeight="1">
      <c r="B109" s="212" t="s">
        <v>160</v>
      </c>
      <c r="C109" s="213"/>
      <c r="D109" s="108">
        <f>138305956.27/1000</f>
        <v>138305.95627000002</v>
      </c>
      <c r="E109" s="73"/>
      <c r="F109" s="156" t="s">
        <v>147</v>
      </c>
      <c r="G109" s="214" t="s">
        <v>149</v>
      </c>
      <c r="H109" s="214"/>
      <c r="I109" s="107">
        <v>129396.23</v>
      </c>
      <c r="J109" s="205"/>
      <c r="K109" s="205"/>
      <c r="L109" s="205"/>
      <c r="M109" s="205"/>
    </row>
    <row r="110" spans="7:12" ht="9.75" customHeight="1">
      <c r="G110" s="208"/>
      <c r="H110" s="208"/>
      <c r="I110" s="90"/>
      <c r="J110" s="91"/>
      <c r="K110" s="91"/>
      <c r="L110" s="91"/>
    </row>
    <row r="111" spans="2:12" ht="22.5" customHeight="1" hidden="1">
      <c r="B111" s="209" t="s">
        <v>167</v>
      </c>
      <c r="C111" s="210"/>
      <c r="D111" s="110">
        <v>0</v>
      </c>
      <c r="E111" s="70" t="s">
        <v>104</v>
      </c>
      <c r="G111" s="208"/>
      <c r="H111" s="208"/>
      <c r="I111" s="90"/>
      <c r="J111" s="91"/>
      <c r="K111" s="91"/>
      <c r="L111" s="91"/>
    </row>
    <row r="112" spans="4:15" ht="15.75">
      <c r="D112" s="105"/>
      <c r="N112" s="208"/>
      <c r="O112" s="208"/>
    </row>
    <row r="113" spans="4:15" ht="15.75">
      <c r="D113" s="104"/>
      <c r="I113" s="34"/>
      <c r="N113" s="211"/>
      <c r="O113" s="211"/>
    </row>
    <row r="114" spans="14:15" ht="15.75">
      <c r="N114" s="208"/>
      <c r="O114" s="20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193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205</v>
      </c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220</v>
      </c>
      <c r="N3" s="244" t="s">
        <v>175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219</v>
      </c>
      <c r="F4" s="227" t="s">
        <v>116</v>
      </c>
      <c r="G4" s="229" t="s">
        <v>173</v>
      </c>
      <c r="H4" s="250" t="s">
        <v>174</v>
      </c>
      <c r="I4" s="252" t="s">
        <v>217</v>
      </c>
      <c r="J4" s="255" t="s">
        <v>218</v>
      </c>
      <c r="K4" s="116" t="s">
        <v>172</v>
      </c>
      <c r="L4" s="121" t="s">
        <v>171</v>
      </c>
      <c r="M4" s="220"/>
      <c r="N4" s="222" t="s">
        <v>194</v>
      </c>
      <c r="O4" s="252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51"/>
      <c r="I5" s="253"/>
      <c r="J5" s="256"/>
      <c r="K5" s="217" t="s">
        <v>188</v>
      </c>
      <c r="L5" s="218"/>
      <c r="M5" s="221"/>
      <c r="N5" s="223"/>
      <c r="O5" s="253"/>
      <c r="P5" s="244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19"/>
      <c r="H102" s="219"/>
      <c r="I102" s="219"/>
      <c r="J102" s="219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07"/>
      <c r="O103" s="207"/>
    </row>
    <row r="104" spans="3:15" ht="15.75">
      <c r="C104" s="111">
        <v>42033</v>
      </c>
      <c r="D104" s="34">
        <v>2896.5</v>
      </c>
      <c r="F104" s="155" t="s">
        <v>166</v>
      </c>
      <c r="G104" s="214" t="s">
        <v>151</v>
      </c>
      <c r="H104" s="214"/>
      <c r="I104" s="106">
        <f>'січень '!I139</f>
        <v>8909.733</v>
      </c>
      <c r="J104" s="254" t="s">
        <v>161</v>
      </c>
      <c r="K104" s="254"/>
      <c r="L104" s="254"/>
      <c r="M104" s="254"/>
      <c r="N104" s="207"/>
      <c r="O104" s="207"/>
    </row>
    <row r="105" spans="3:15" ht="15.75">
      <c r="C105" s="111">
        <v>42032</v>
      </c>
      <c r="D105" s="34">
        <v>2838.1</v>
      </c>
      <c r="G105" s="249" t="s">
        <v>155</v>
      </c>
      <c r="H105" s="249"/>
      <c r="I105" s="103">
        <f>'січень '!I140</f>
        <v>0</v>
      </c>
      <c r="J105" s="257" t="s">
        <v>162</v>
      </c>
      <c r="K105" s="257"/>
      <c r="L105" s="257"/>
      <c r="M105" s="257"/>
      <c r="N105" s="207"/>
      <c r="O105" s="207"/>
    </row>
    <row r="106" spans="7:13" ht="15.75" customHeight="1">
      <c r="G106" s="214" t="s">
        <v>148</v>
      </c>
      <c r="H106" s="214"/>
      <c r="I106" s="103">
        <f>'січень '!I141</f>
        <v>0</v>
      </c>
      <c r="J106" s="254" t="s">
        <v>163</v>
      </c>
      <c r="K106" s="254"/>
      <c r="L106" s="254"/>
      <c r="M106" s="254"/>
    </row>
    <row r="107" spans="2:13" ht="18.75" customHeight="1">
      <c r="B107" s="212" t="s">
        <v>160</v>
      </c>
      <c r="C107" s="213"/>
      <c r="D107" s="108">
        <f>'січень '!D142</f>
        <v>132375.63</v>
      </c>
      <c r="E107" s="73"/>
      <c r="F107" s="156" t="s">
        <v>147</v>
      </c>
      <c r="G107" s="214" t="s">
        <v>149</v>
      </c>
      <c r="H107" s="214"/>
      <c r="I107" s="107">
        <f>'січень '!I142</f>
        <v>123465.893</v>
      </c>
      <c r="J107" s="254" t="s">
        <v>164</v>
      </c>
      <c r="K107" s="254"/>
      <c r="L107" s="254"/>
      <c r="M107" s="254"/>
    </row>
    <row r="108" spans="7:12" ht="9.75" customHeight="1">
      <c r="G108" s="208"/>
      <c r="H108" s="208"/>
      <c r="I108" s="90"/>
      <c r="J108" s="91"/>
      <c r="K108" s="91"/>
      <c r="L108" s="91"/>
    </row>
    <row r="109" spans="2:12" ht="22.5" customHeight="1" hidden="1">
      <c r="B109" s="209" t="s">
        <v>167</v>
      </c>
      <c r="C109" s="210"/>
      <c r="D109" s="110">
        <v>0</v>
      </c>
      <c r="E109" s="70" t="s">
        <v>104</v>
      </c>
      <c r="G109" s="208"/>
      <c r="H109" s="208"/>
      <c r="I109" s="90"/>
      <c r="J109" s="91"/>
      <c r="K109" s="91"/>
      <c r="L109" s="91"/>
    </row>
    <row r="110" spans="4:15" ht="15.75">
      <c r="D110" s="105"/>
      <c r="N110" s="208"/>
      <c r="O110" s="208"/>
    </row>
    <row r="111" spans="4:15" ht="15.75">
      <c r="D111" s="104"/>
      <c r="I111" s="34"/>
      <c r="N111" s="211"/>
      <c r="O111" s="211"/>
    </row>
    <row r="112" spans="14:15" ht="15.75">
      <c r="N112" s="208"/>
      <c r="O112" s="208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1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33" t="s">
        <v>193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203</v>
      </c>
      <c r="C3" s="238" t="s">
        <v>0</v>
      </c>
      <c r="D3" s="239" t="s">
        <v>190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187</v>
      </c>
      <c r="N3" s="244" t="s">
        <v>175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153</v>
      </c>
      <c r="F4" s="227" t="s">
        <v>116</v>
      </c>
      <c r="G4" s="229" t="s">
        <v>173</v>
      </c>
      <c r="H4" s="250" t="s">
        <v>174</v>
      </c>
      <c r="I4" s="252" t="s">
        <v>186</v>
      </c>
      <c r="J4" s="255" t="s">
        <v>189</v>
      </c>
      <c r="K4" s="116" t="s">
        <v>172</v>
      </c>
      <c r="L4" s="121" t="s">
        <v>171</v>
      </c>
      <c r="M4" s="220"/>
      <c r="N4" s="222" t="s">
        <v>194</v>
      </c>
      <c r="O4" s="252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51"/>
      <c r="I5" s="253"/>
      <c r="J5" s="256"/>
      <c r="K5" s="217" t="s">
        <v>188</v>
      </c>
      <c r="L5" s="218"/>
      <c r="M5" s="221"/>
      <c r="N5" s="223"/>
      <c r="O5" s="253"/>
      <c r="P5" s="244"/>
      <c r="Q5" s="217" t="s">
        <v>176</v>
      </c>
      <c r="R5" s="218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19"/>
      <c r="H137" s="219"/>
      <c r="I137" s="219"/>
      <c r="J137" s="219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07"/>
      <c r="O138" s="207"/>
    </row>
    <row r="139" spans="3:15" ht="15.75">
      <c r="C139" s="111">
        <v>42033</v>
      </c>
      <c r="D139" s="34">
        <v>2896.5</v>
      </c>
      <c r="F139" s="155" t="s">
        <v>166</v>
      </c>
      <c r="G139" s="214" t="s">
        <v>151</v>
      </c>
      <c r="H139" s="214"/>
      <c r="I139" s="106">
        <f>8909.733</f>
        <v>8909.733</v>
      </c>
      <c r="J139" s="254" t="s">
        <v>161</v>
      </c>
      <c r="K139" s="254"/>
      <c r="L139" s="254"/>
      <c r="M139" s="254"/>
      <c r="N139" s="207"/>
      <c r="O139" s="207"/>
    </row>
    <row r="140" spans="3:15" ht="15.75">
      <c r="C140" s="111">
        <v>42032</v>
      </c>
      <c r="D140" s="34">
        <v>2838.1</v>
      </c>
      <c r="G140" s="249" t="s">
        <v>155</v>
      </c>
      <c r="H140" s="249"/>
      <c r="I140" s="103">
        <v>0</v>
      </c>
      <c r="J140" s="257" t="s">
        <v>162</v>
      </c>
      <c r="K140" s="257"/>
      <c r="L140" s="257"/>
      <c r="M140" s="257"/>
      <c r="N140" s="207"/>
      <c r="O140" s="207"/>
    </row>
    <row r="141" spans="7:13" ht="15.75" customHeight="1">
      <c r="G141" s="214" t="s">
        <v>148</v>
      </c>
      <c r="H141" s="214"/>
      <c r="I141" s="103">
        <v>0</v>
      </c>
      <c r="J141" s="254" t="s">
        <v>163</v>
      </c>
      <c r="K141" s="254"/>
      <c r="L141" s="254"/>
      <c r="M141" s="254"/>
    </row>
    <row r="142" spans="2:13" ht="18.75" customHeight="1">
      <c r="B142" s="212" t="s">
        <v>160</v>
      </c>
      <c r="C142" s="213"/>
      <c r="D142" s="108">
        <f>132375.63</f>
        <v>132375.63</v>
      </c>
      <c r="E142" s="73"/>
      <c r="F142" s="156" t="s">
        <v>147</v>
      </c>
      <c r="G142" s="214" t="s">
        <v>149</v>
      </c>
      <c r="H142" s="214"/>
      <c r="I142" s="107">
        <f>123465.893</f>
        <v>123465.893</v>
      </c>
      <c r="J142" s="254" t="s">
        <v>164</v>
      </c>
      <c r="K142" s="254"/>
      <c r="L142" s="254"/>
      <c r="M142" s="254"/>
    </row>
    <row r="143" spans="7:12" ht="9.75" customHeight="1">
      <c r="G143" s="208"/>
      <c r="H143" s="208"/>
      <c r="I143" s="90"/>
      <c r="J143" s="91"/>
      <c r="K143" s="91"/>
      <c r="L143" s="91"/>
    </row>
    <row r="144" spans="2:12" ht="22.5" customHeight="1" hidden="1">
      <c r="B144" s="209" t="s">
        <v>167</v>
      </c>
      <c r="C144" s="210"/>
      <c r="D144" s="110">
        <v>0</v>
      </c>
      <c r="E144" s="70" t="s">
        <v>104</v>
      </c>
      <c r="G144" s="208"/>
      <c r="H144" s="208"/>
      <c r="I144" s="90"/>
      <c r="J144" s="91"/>
      <c r="K144" s="91"/>
      <c r="L144" s="91"/>
    </row>
    <row r="145" spans="4:15" ht="15.75">
      <c r="D145" s="105"/>
      <c r="N145" s="208"/>
      <c r="O145" s="208"/>
    </row>
    <row r="146" spans="4:15" ht="15.75">
      <c r="D146" s="104"/>
      <c r="I146" s="34"/>
      <c r="N146" s="211"/>
      <c r="O146" s="211"/>
    </row>
    <row r="147" spans="14:15" ht="15.75">
      <c r="N147" s="208"/>
      <c r="O147" s="208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2015-06-26T08:58:17Z</cp:lastPrinted>
  <dcterms:created xsi:type="dcterms:W3CDTF">2003-07-28T11:27:56Z</dcterms:created>
  <dcterms:modified xsi:type="dcterms:W3CDTF">2015-06-26T09:19:16Z</dcterms:modified>
  <cp:category/>
  <cp:version/>
  <cp:contentType/>
  <cp:contentStatus/>
</cp:coreProperties>
</file>